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-2" sheetId="2" r:id="rId2"/>
    <sheet name="січень" sheetId="3" r:id="rId3"/>
  </sheets>
  <definedNames>
    <definedName name="_xlnm.Print_Area" localSheetId="2">'січень'!$A$1:$R$87</definedName>
  </definedNames>
  <calcPr fullCalcOnLoad="1"/>
</workbook>
</file>

<file path=xl/sharedStrings.xml><?xml version="1.0" encoding="utf-8"?>
<sst xmlns="http://schemas.openxmlformats.org/spreadsheetml/2006/main" count="376" uniqueCount="140">
  <si>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</si>
  <si>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</si>
  <si>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</si>
  <si>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</si>
  <si>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</si>
  <si>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</si>
  <si>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</si>
  <si>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</si>
  <si>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</si>
  <si>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</si>
  <si>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</si>
  <si>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</si>
  <si>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</si>
  <si>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</si>
  <si>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</si>
  <si>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</si>
  <si>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</si>
  <si>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</si>
  <si>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</si>
  <si>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</si>
  <si>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</si>
  <si>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</si>
  <si>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</si>
  <si>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</si>
  <si>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</si>
  <si>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</si>
  <si>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</si>
  <si>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</si>
  <si>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</si>
  <si>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</si>
  <si>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</si>
  <si>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</si>
  <si>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</si>
  <si>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</si>
  <si>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</si>
  <si>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</si>
  <si>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</si>
  <si>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</si>
  <si>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</si>
  <si>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</si>
  <si>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</si>
  <si>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</si>
  <si>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</si>
  <si>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</si>
  <si>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</si>
  <si>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</si>
  <si>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</si>
  <si>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</si>
  <si>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</si>
  <si>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</si>
  <si>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</si>
  <si>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</si>
  <si>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</si>
  <si>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</si>
  <si>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</si>
  <si>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</si>
  <si>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</si>
  <si>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</si>
  <si>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</si>
  <si>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</si>
  <si>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</si>
  <si>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</si>
  <si>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</si>
  <si>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</si>
  <si>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</si>
  <si>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</si>
  <si>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</si>
  <si>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</si>
  <si>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</si>
  <si>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</si>
  <si>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</si>
  <si>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</si>
  <si>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</si>
  <si>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</si>
  <si>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</si>
  <si>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</si>
  <si>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</si>
  <si>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</si>
  <si>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</si>
  <si>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</si>
  <si>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</si>
  <si>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</si>
  <si>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</si>
  <si>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</si>
  <si>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</si>
  <si>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</si>
  <si>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</si>
  <si>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</si>
  <si>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</si>
  <si>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</si>
  <si>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</si>
  <si>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</si>
  <si>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</si>
  <si>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</si>
  <si>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</si>
  <si>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</si>
  <si>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</si>
  <si>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</si>
  <si>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</si>
  <si>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</si>
  <si>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</si>
  <si>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</si>
  <si>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</si>
  <si>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</si>
  <si>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</si>
  <si>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</si>
  <si>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</si>
  <si>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</si>
  <si>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</si>
  <si>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</si>
  <si>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</si>
  <si>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</si>
  <si>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</si>
  <si>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</si>
  <si>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</si>
  <si>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</si>
  <si>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</si>
  <si>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</si>
  <si>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</si>
  <si>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</si>
  <si>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</si>
  <si>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</si>
  <si>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</si>
  <si>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</si>
  <si>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</si>
  <si>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</si>
  <si>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</si>
  <si>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</si>
  <si>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</si>
  <si>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</si>
  <si>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</si>
  <si>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</si>
  <si>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</si>
  <si>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</si>
  <si>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</si>
  <si>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</si>
  <si>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</si>
  <si>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</si>
  <si>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25.02.2016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</si>
  <si>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24.02.16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</si>
</sst>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2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6" t="s">
        <v>138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92"/>
      <c r="R1" s="93"/>
    </row>
    <row r="2" spans="2:18" s="1" customFormat="1" ht="15.75" customHeight="1">
      <c r="B2" s="207"/>
      <c r="C2" s="207"/>
      <c r="D2" s="207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08"/>
      <c r="B3" s="210"/>
      <c r="C3" s="211" t="s">
        <v>0</v>
      </c>
      <c r="D3" s="212" t="s">
        <v>121</v>
      </c>
      <c r="E3" s="34"/>
      <c r="F3" s="213" t="s">
        <v>26</v>
      </c>
      <c r="G3" s="214"/>
      <c r="H3" s="214"/>
      <c r="I3" s="214"/>
      <c r="J3" s="215"/>
      <c r="K3" s="89"/>
      <c r="L3" s="89"/>
      <c r="M3" s="216" t="s">
        <v>128</v>
      </c>
      <c r="N3" s="217" t="s">
        <v>119</v>
      </c>
      <c r="O3" s="217"/>
      <c r="P3" s="217"/>
      <c r="Q3" s="217"/>
      <c r="R3" s="217"/>
    </row>
    <row r="4" spans="1:18" ht="22.5" customHeight="1">
      <c r="A4" s="208"/>
      <c r="B4" s="210"/>
      <c r="C4" s="211"/>
      <c r="D4" s="212"/>
      <c r="E4" s="218" t="s">
        <v>127</v>
      </c>
      <c r="F4" s="200" t="s">
        <v>34</v>
      </c>
      <c r="G4" s="194" t="s">
        <v>116</v>
      </c>
      <c r="H4" s="202" t="s">
        <v>117</v>
      </c>
      <c r="I4" s="194" t="s">
        <v>122</v>
      </c>
      <c r="J4" s="202" t="s">
        <v>123</v>
      </c>
      <c r="K4" s="91" t="s">
        <v>65</v>
      </c>
      <c r="L4" s="96" t="s">
        <v>64</v>
      </c>
      <c r="M4" s="202"/>
      <c r="N4" s="204" t="s">
        <v>139</v>
      </c>
      <c r="O4" s="194" t="s">
        <v>50</v>
      </c>
      <c r="P4" s="196" t="s">
        <v>49</v>
      </c>
      <c r="Q4" s="97" t="s">
        <v>65</v>
      </c>
      <c r="R4" s="98" t="s">
        <v>64</v>
      </c>
    </row>
    <row r="5" spans="1:18" ht="92.25" customHeight="1">
      <c r="A5" s="209"/>
      <c r="B5" s="210"/>
      <c r="C5" s="211"/>
      <c r="D5" s="212"/>
      <c r="E5" s="219"/>
      <c r="F5" s="201"/>
      <c r="G5" s="195"/>
      <c r="H5" s="203"/>
      <c r="I5" s="195"/>
      <c r="J5" s="203"/>
      <c r="K5" s="197" t="s">
        <v>118</v>
      </c>
      <c r="L5" s="198"/>
      <c r="M5" s="203"/>
      <c r="N5" s="205"/>
      <c r="O5" s="195"/>
      <c r="P5" s="196"/>
      <c r="Q5" s="197" t="s">
        <v>120</v>
      </c>
      <c r="R5" s="19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</f>
        <v>117417.20000000001</v>
      </c>
      <c r="G8" s="15">
        <f aca="true" t="shared" si="0" ref="G8:G21">F8-E8</f>
        <v>-5295.569999999978</v>
      </c>
      <c r="H8" s="38">
        <f>F8/E8*100</f>
        <v>95.68458115646808</v>
      </c>
      <c r="I8" s="28">
        <f>F8-D8</f>
        <v>-723632.8</v>
      </c>
      <c r="J8" s="28">
        <f>F8/D8*100</f>
        <v>13.96078711134891</v>
      </c>
      <c r="K8" s="15">
        <f>K9+K15+K18+K19+K20+K32</f>
        <v>26062.74</v>
      </c>
      <c r="L8" s="15">
        <f>F8/91354.4*100</f>
        <v>128.52933192052055</v>
      </c>
      <c r="M8" s="15">
        <f>M9+M15+M18+M19+M20+M32+M17</f>
        <v>62152</v>
      </c>
      <c r="N8" s="15">
        <f>N9+N15+N18+N19+N20+N32+N17</f>
        <v>56836.57</v>
      </c>
      <c r="O8" s="15">
        <f>N8-M8</f>
        <v>-5315.43</v>
      </c>
      <c r="P8" s="15">
        <f>N8/M8*100</f>
        <v>91.4476927532501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60030.59</v>
      </c>
      <c r="G9" s="36">
        <f t="shared" si="0"/>
        <v>-559.6750000000029</v>
      </c>
      <c r="H9" s="32">
        <f>F9/E9*100</f>
        <v>99.0762955072073</v>
      </c>
      <c r="I9" s="42">
        <f>F9-D9</f>
        <v>-399669.41000000003</v>
      </c>
      <c r="J9" s="42">
        <f>F9/D9*100</f>
        <v>13.058644768327168</v>
      </c>
      <c r="K9" s="106">
        <f>F9-49687.49</f>
        <v>10343.099999999999</v>
      </c>
      <c r="L9" s="106">
        <f>F9/49687.49*100</f>
        <v>120.8163060762377</v>
      </c>
      <c r="M9" s="32">
        <v>30377</v>
      </c>
      <c r="N9" s="178">
        <f>F9-січень!F9</f>
        <v>29817.319999999996</v>
      </c>
      <c r="O9" s="40">
        <f>N9-M9</f>
        <v>-559.6800000000039</v>
      </c>
      <c r="P9" s="42">
        <f>N9/M9*100</f>
        <v>98.157553412121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53923.41</v>
      </c>
      <c r="G10" s="109">
        <f t="shared" si="0"/>
        <v>-450.429999999993</v>
      </c>
      <c r="H10" s="32">
        <f aca="true" t="shared" si="1" ref="H10:H18">F10/E10*100</f>
        <v>99.17160531608583</v>
      </c>
      <c r="I10" s="110">
        <f aca="true" t="shared" si="2" ref="I10:I32">F10-D10</f>
        <v>-357516.58999999997</v>
      </c>
      <c r="J10" s="110">
        <f aca="true" t="shared" si="3" ref="J10:J31">F10/D10*100</f>
        <v>13.106020318880033</v>
      </c>
      <c r="K10" s="112">
        <f>F10-43781.83</f>
        <v>10141.580000000002</v>
      </c>
      <c r="L10" s="112">
        <f>F10/43781.83*100</f>
        <v>123.16390155459469</v>
      </c>
      <c r="M10" s="111">
        <v>27490</v>
      </c>
      <c r="N10" s="179">
        <f>F10-січень!F10</f>
        <v>27039.570000000003</v>
      </c>
      <c r="O10" s="112">
        <f aca="true" t="shared" si="4" ref="O10:O32">N10-M10</f>
        <v>-450.42999999999665</v>
      </c>
      <c r="P10" s="42">
        <f aca="true" t="shared" si="5" ref="P10:P18">N10/M10*100</f>
        <v>98.36147690069117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3469.94</v>
      </c>
      <c r="G11" s="109">
        <f t="shared" si="0"/>
        <v>-465</v>
      </c>
      <c r="H11" s="32">
        <f t="shared" si="1"/>
        <v>88.18279313026373</v>
      </c>
      <c r="I11" s="110">
        <f t="shared" si="2"/>
        <v>-19530.06</v>
      </c>
      <c r="J11" s="110">
        <f t="shared" si="3"/>
        <v>15.086695652173912</v>
      </c>
      <c r="K11" s="112">
        <f>F11-3453.77</f>
        <v>16.170000000000073</v>
      </c>
      <c r="L11" s="112">
        <f>F11/3453.77*100</f>
        <v>100.46818404236531</v>
      </c>
      <c r="M11" s="111">
        <v>1250</v>
      </c>
      <c r="N11" s="179">
        <f>F11-січень!F11</f>
        <v>785</v>
      </c>
      <c r="O11" s="112">
        <f t="shared" si="4"/>
        <v>-465</v>
      </c>
      <c r="P11" s="42">
        <f t="shared" si="5"/>
        <v>62.8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778.92</v>
      </c>
      <c r="G12" s="109">
        <f t="shared" si="0"/>
        <v>153.30999999999995</v>
      </c>
      <c r="H12" s="32">
        <f t="shared" si="1"/>
        <v>124.50568245392498</v>
      </c>
      <c r="I12" s="110">
        <f t="shared" si="2"/>
        <v>-5721.08</v>
      </c>
      <c r="J12" s="110">
        <f t="shared" si="3"/>
        <v>11.983384615384615</v>
      </c>
      <c r="K12" s="112">
        <f>F12-805.51</f>
        <v>-26.590000000000032</v>
      </c>
      <c r="L12" s="112">
        <f>F12/805.51*100</f>
        <v>96.69898573574504</v>
      </c>
      <c r="M12" s="111">
        <v>192</v>
      </c>
      <c r="N12" s="179">
        <f>F12-січень!F12</f>
        <v>345.30999999999995</v>
      </c>
      <c r="O12" s="112">
        <f t="shared" si="4"/>
        <v>153.30999999999995</v>
      </c>
      <c r="P12" s="42">
        <f t="shared" si="5"/>
        <v>179.8489583333333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1403.35</v>
      </c>
      <c r="G13" s="109">
        <f t="shared" si="0"/>
        <v>373.5149999999999</v>
      </c>
      <c r="H13" s="32">
        <f t="shared" si="1"/>
        <v>136.2694023799929</v>
      </c>
      <c r="I13" s="110">
        <f t="shared" si="2"/>
        <v>-10996.65</v>
      </c>
      <c r="J13" s="110">
        <f t="shared" si="3"/>
        <v>11.317338709677419</v>
      </c>
      <c r="K13" s="112">
        <f>F13-707.92</f>
        <v>695.43</v>
      </c>
      <c r="L13" s="112">
        <f>F13/707.92*100</f>
        <v>198.2356763476099</v>
      </c>
      <c r="M13" s="111">
        <v>820</v>
      </c>
      <c r="N13" s="179">
        <f>F13-січень!F13</f>
        <v>1193.51</v>
      </c>
      <c r="O13" s="112">
        <f t="shared" si="4"/>
        <v>373.51</v>
      </c>
      <c r="P13" s="42">
        <f t="shared" si="5"/>
        <v>145.55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83.31</v>
      </c>
      <c r="G15" s="36">
        <f t="shared" si="0"/>
        <v>83.31</v>
      </c>
      <c r="H15" s="32"/>
      <c r="I15" s="42">
        <f t="shared" si="2"/>
        <v>-416.69</v>
      </c>
      <c r="J15" s="42">
        <f t="shared" si="3"/>
        <v>16.662000000000003</v>
      </c>
      <c r="K15" s="43">
        <f>F15-(-976.48)</f>
        <v>1059.79</v>
      </c>
      <c r="L15" s="43">
        <f>F15/(-976.48)*100</f>
        <v>-8.531664755038506</v>
      </c>
      <c r="M15" s="32">
        <v>0</v>
      </c>
      <c r="N15" s="178">
        <f>F15-січень!F15</f>
        <v>83.31</v>
      </c>
      <c r="O15" s="40">
        <f t="shared" si="4"/>
        <v>83.31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7017.13</v>
      </c>
      <c r="G19" s="36">
        <f t="shared" si="0"/>
        <v>-5043.2699999999995</v>
      </c>
      <c r="H19" s="32">
        <f aca="true" t="shared" si="6" ref="H19:H31">F19/E19*100</f>
        <v>58.18322775364001</v>
      </c>
      <c r="I19" s="42">
        <f t="shared" si="2"/>
        <v>-102882.87</v>
      </c>
      <c r="J19" s="42">
        <f t="shared" si="3"/>
        <v>6.3850136487716105</v>
      </c>
      <c r="K19" s="133">
        <f>F19-3525.13</f>
        <v>3492</v>
      </c>
      <c r="L19" s="40">
        <f>F19/3525.13*100</f>
        <v>199.06017650412892</v>
      </c>
      <c r="M19" s="32">
        <v>6500</v>
      </c>
      <c r="N19" s="178">
        <f>F19-січень!F19</f>
        <v>1456.7300000000005</v>
      </c>
      <c r="O19" s="40">
        <f t="shared" si="4"/>
        <v>-5043.2699999999995</v>
      </c>
      <c r="P19" s="42">
        <f aca="true" t="shared" si="7" ref="P19:P25">N19/M19*100</f>
        <v>22.411230769230777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73">
        <f>F21+F25+F27+F26</f>
        <v>50180.32000000001</v>
      </c>
      <c r="G20" s="36">
        <f t="shared" si="0"/>
        <v>128.21500000001106</v>
      </c>
      <c r="H20" s="32">
        <f t="shared" si="6"/>
        <v>100.25616305248303</v>
      </c>
      <c r="I20" s="42">
        <f t="shared" si="2"/>
        <v>-220759.68</v>
      </c>
      <c r="J20" s="42">
        <f t="shared" si="3"/>
        <v>18.520823798627003</v>
      </c>
      <c r="K20" s="132">
        <f>F20-37103.23</f>
        <v>13077.090000000004</v>
      </c>
      <c r="L20" s="110">
        <f>F20/37103.23*100</f>
        <v>135.24515251098086</v>
      </c>
      <c r="M20" s="32">
        <f>M21+M25+M26+M27</f>
        <v>25265</v>
      </c>
      <c r="N20" s="178">
        <f>F20-січень!F20</f>
        <v>25383.260000000006</v>
      </c>
      <c r="O20" s="40">
        <f t="shared" si="4"/>
        <v>118.26000000000568</v>
      </c>
      <c r="P20" s="42">
        <f t="shared" si="7"/>
        <v>100.46807836928559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17201.49</v>
      </c>
      <c r="G21" s="36">
        <f t="shared" si="0"/>
        <v>-6294.769999999997</v>
      </c>
      <c r="H21" s="32">
        <f t="shared" si="6"/>
        <v>73.2094809982525</v>
      </c>
      <c r="I21" s="42">
        <f t="shared" si="2"/>
        <v>-144198.51</v>
      </c>
      <c r="J21" s="42">
        <f t="shared" si="3"/>
        <v>10.657676579925651</v>
      </c>
      <c r="K21" s="132">
        <f>F21-15266.79</f>
        <v>1934.7000000000007</v>
      </c>
      <c r="L21" s="110">
        <f>F21/15266.79*100</f>
        <v>112.67260504664046</v>
      </c>
      <c r="M21" s="32">
        <f>M22+M23+M24</f>
        <v>11597</v>
      </c>
      <c r="N21" s="178">
        <f>F21-січень!F21</f>
        <v>5302.190000000002</v>
      </c>
      <c r="O21" s="40">
        <f t="shared" si="4"/>
        <v>-6294.809999999998</v>
      </c>
      <c r="P21" s="42">
        <f t="shared" si="7"/>
        <v>45.7203587134604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3419.85</v>
      </c>
      <c r="G22" s="109">
        <f>F22-E22</f>
        <v>128.25</v>
      </c>
      <c r="H22" s="111">
        <f t="shared" si="6"/>
        <v>103.8962814436748</v>
      </c>
      <c r="I22" s="110">
        <f t="shared" si="2"/>
        <v>-15080.15</v>
      </c>
      <c r="J22" s="110">
        <f t="shared" si="3"/>
        <v>18.485675675675676</v>
      </c>
      <c r="K22" s="110">
        <f>F22-306.01</f>
        <v>3113.84</v>
      </c>
      <c r="L22" s="110">
        <f>F22/306.01*100</f>
        <v>1117.5615175974642</v>
      </c>
      <c r="M22" s="111">
        <v>242</v>
      </c>
      <c r="N22" s="179">
        <f>F22-січень!F22</f>
        <v>370.25</v>
      </c>
      <c r="O22" s="112">
        <f t="shared" si="4"/>
        <v>128.25</v>
      </c>
      <c r="P22" s="110">
        <f t="shared" si="7"/>
        <v>152.99586776859505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172.13</v>
      </c>
      <c r="G23" s="109">
        <f>F23-E23</f>
        <v>-29.710000000000008</v>
      </c>
      <c r="H23" s="111">
        <f t="shared" si="6"/>
        <v>85.2804201347602</v>
      </c>
      <c r="I23" s="110">
        <f t="shared" si="2"/>
        <v>-2627.87</v>
      </c>
      <c r="J23" s="110">
        <f t="shared" si="3"/>
        <v>6.147499999999999</v>
      </c>
      <c r="K23" s="110">
        <f>F23-6.25</f>
        <v>165.88</v>
      </c>
      <c r="L23" s="110">
        <f>F23/6.25*100</f>
        <v>2754.08</v>
      </c>
      <c r="M23" s="111">
        <v>45</v>
      </c>
      <c r="N23" s="179">
        <f>F23-січень!F23</f>
        <v>15.259999999999991</v>
      </c>
      <c r="O23" s="112">
        <f t="shared" si="4"/>
        <v>-29.74000000000001</v>
      </c>
      <c r="P23" s="110">
        <f t="shared" si="7"/>
        <v>33.91111111111109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13609.51</v>
      </c>
      <c r="G24" s="109">
        <f>F24-E24</f>
        <v>-6393.3099999999995</v>
      </c>
      <c r="H24" s="111">
        <f t="shared" si="6"/>
        <v>68.03795664811261</v>
      </c>
      <c r="I24" s="110">
        <f t="shared" si="2"/>
        <v>-126490.49</v>
      </c>
      <c r="J24" s="110">
        <f t="shared" si="3"/>
        <v>9.714139900071379</v>
      </c>
      <c r="K24" s="174">
        <f>F24-14954.53</f>
        <v>-1345.0200000000004</v>
      </c>
      <c r="L24" s="174">
        <f>F24/14954.53*100</f>
        <v>91.00593599397641</v>
      </c>
      <c r="M24" s="111">
        <v>11310</v>
      </c>
      <c r="N24" s="179">
        <f>F24-січень!F24</f>
        <v>4916.68</v>
      </c>
      <c r="O24" s="112">
        <f t="shared" si="4"/>
        <v>-6393.32</v>
      </c>
      <c r="P24" s="110">
        <f t="shared" si="7"/>
        <v>43.47197170645447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-51.96</v>
      </c>
      <c r="G26" s="36">
        <f aca="true" t="shared" si="8" ref="G26:G32">F26-E26</f>
        <v>-51.96</v>
      </c>
      <c r="H26" s="32"/>
      <c r="I26" s="42">
        <f t="shared" si="2"/>
        <v>-51.96</v>
      </c>
      <c r="J26" s="42"/>
      <c r="K26" s="132">
        <f>F26-87.67</f>
        <v>-139.63</v>
      </c>
      <c r="L26" s="132">
        <f>F26/87.67*100</f>
        <v>-59.2677084521501</v>
      </c>
      <c r="M26" s="32">
        <f>E26-січень!E26</f>
        <v>0</v>
      </c>
      <c r="N26" s="178">
        <f>F26-січень!F26</f>
        <v>-51.61</v>
      </c>
      <c r="O26" s="40">
        <f t="shared" si="4"/>
        <v>-51.61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33009.98</v>
      </c>
      <c r="G27" s="36">
        <f t="shared" si="8"/>
        <v>6464.740000000002</v>
      </c>
      <c r="H27" s="32">
        <f t="shared" si="6"/>
        <v>124.35366943376667</v>
      </c>
      <c r="I27" s="42">
        <f t="shared" si="2"/>
        <v>-76453.01999999999</v>
      </c>
      <c r="J27" s="42">
        <f t="shared" si="3"/>
        <v>30.15629025332761</v>
      </c>
      <c r="K27" s="106">
        <f>F27-21734.55</f>
        <v>11275.430000000004</v>
      </c>
      <c r="L27" s="106">
        <f>F27/21734.55*100</f>
        <v>151.8779086753579</v>
      </c>
      <c r="M27" s="32">
        <v>13660</v>
      </c>
      <c r="N27" s="178">
        <f>F27-січень!F27</f>
        <v>20114.480000000003</v>
      </c>
      <c r="O27" s="40">
        <f t="shared" si="4"/>
        <v>6454.480000000003</v>
      </c>
      <c r="P27" s="42">
        <f>N27/M27*100</f>
        <v>147.2509516837482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8628.92</v>
      </c>
      <c r="G29" s="109">
        <f t="shared" si="8"/>
        <v>2972.95</v>
      </c>
      <c r="H29" s="111">
        <f t="shared" si="6"/>
        <v>152.5630440048303</v>
      </c>
      <c r="I29" s="110">
        <f t="shared" si="2"/>
        <v>-18971.08</v>
      </c>
      <c r="J29" s="110">
        <f t="shared" si="3"/>
        <v>31.264202898550725</v>
      </c>
      <c r="K29" s="142">
        <f>F29-5853.24</f>
        <v>2775.6800000000003</v>
      </c>
      <c r="L29" s="142">
        <f>F29/5853.24*100</f>
        <v>147.42125728656265</v>
      </c>
      <c r="M29" s="111">
        <v>3500</v>
      </c>
      <c r="N29" s="179">
        <f>F29-січень!F29</f>
        <v>6472.950000000001</v>
      </c>
      <c r="O29" s="112">
        <f t="shared" si="4"/>
        <v>2972.9500000000007</v>
      </c>
      <c r="P29" s="110">
        <f>N29/M29*100</f>
        <v>184.9414285714286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24373.49</v>
      </c>
      <c r="G30" s="109">
        <f t="shared" si="8"/>
        <v>3487.41</v>
      </c>
      <c r="H30" s="111">
        <f t="shared" si="6"/>
        <v>116.69729312537345</v>
      </c>
      <c r="I30" s="110">
        <f t="shared" si="2"/>
        <v>-57438.509999999995</v>
      </c>
      <c r="J30" s="110">
        <f t="shared" si="3"/>
        <v>29.792072067667334</v>
      </c>
      <c r="K30" s="142">
        <f>F30-15877.68</f>
        <v>8495.810000000001</v>
      </c>
      <c r="L30" s="142">
        <f>F30/15877.68*100</f>
        <v>153.50788024446896</v>
      </c>
      <c r="M30" s="111">
        <v>10160</v>
      </c>
      <c r="N30" s="179">
        <f>F30-січень!F30</f>
        <v>13637.150000000001</v>
      </c>
      <c r="O30" s="112">
        <f t="shared" si="4"/>
        <v>3477.1500000000015</v>
      </c>
      <c r="P30" s="110">
        <f>N30/M30*100</f>
        <v>134.22391732283467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</f>
        <v>4667.98</v>
      </c>
      <c r="G33" s="15">
        <f>G34+G35+G36+G37+G38+G39+G41+G42+G43+G44+G45+G50+G51+G55</f>
        <v>-267.04600000000016</v>
      </c>
      <c r="H33" s="38">
        <f>F33/E33*100</f>
        <v>94.58876204502266</v>
      </c>
      <c r="I33" s="28">
        <f>F33-D33</f>
        <v>-38152.020000000004</v>
      </c>
      <c r="J33" s="28">
        <f>F33/D33*100</f>
        <v>10.9014012143858</v>
      </c>
      <c r="K33" s="15">
        <f>F33-4883.7</f>
        <v>-215.72000000000025</v>
      </c>
      <c r="L33" s="15">
        <f>F33/4883.7*100</f>
        <v>95.58285725986444</v>
      </c>
      <c r="M33" s="15">
        <f>M34+M35+M36+M37+M38+M39+M41+M42+M43+M44+M45+M50+M51+M55</f>
        <v>2907.3</v>
      </c>
      <c r="N33" s="15">
        <f>N34+N35+N36+N37+N38+N39+N41+N42+N43+N44+N45+N50+N51+N55</f>
        <v>2637.01</v>
      </c>
      <c r="O33" s="15">
        <f>O34+O35+O36+O37+O38+O39+O41+O42+O43+O44+O45+O50+O51+O55</f>
        <v>-270.29</v>
      </c>
      <c r="P33" s="15">
        <f>N33/M33*100</f>
        <v>90.70305781997043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1217.91</v>
      </c>
      <c r="G41" s="36">
        <f t="shared" si="11"/>
        <v>-121.10500000000002</v>
      </c>
      <c r="H41" s="32">
        <f t="shared" si="9"/>
        <v>90.95566517178672</v>
      </c>
      <c r="I41" s="42">
        <f t="shared" si="12"/>
        <v>-8682.09</v>
      </c>
      <c r="J41" s="42">
        <f t="shared" si="14"/>
        <v>12.302121212121213</v>
      </c>
      <c r="K41" s="42">
        <f>F41-1559.47</f>
        <v>-341.55999999999995</v>
      </c>
      <c r="L41" s="42">
        <f>F41/1559.47*100</f>
        <v>78.0976870346977</v>
      </c>
      <c r="M41" s="32">
        <v>800</v>
      </c>
      <c r="N41" s="178">
        <f>F41-січень!F41</f>
        <v>678.8900000000001</v>
      </c>
      <c r="O41" s="40">
        <f t="shared" si="13"/>
        <v>-121.1099999999999</v>
      </c>
      <c r="P41" s="42">
        <f t="shared" si="10"/>
        <v>84.86125000000001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892.72</v>
      </c>
      <c r="G45" s="36">
        <f t="shared" si="11"/>
        <v>-3.4700000000000273</v>
      </c>
      <c r="H45" s="32">
        <f t="shared" si="9"/>
        <v>99.61280532030038</v>
      </c>
      <c r="I45" s="42">
        <f t="shared" si="12"/>
        <v>-6407.28</v>
      </c>
      <c r="J45" s="42">
        <f t="shared" si="14"/>
        <v>12.22904109589041</v>
      </c>
      <c r="K45" s="132">
        <f>F45-1398.47</f>
        <v>-505.75</v>
      </c>
      <c r="L45" s="132">
        <f>F45/1398.47*100</f>
        <v>63.83547734309638</v>
      </c>
      <c r="M45" s="152">
        <v>488</v>
      </c>
      <c r="N45" s="180">
        <f>F45-січень!F45</f>
        <v>484.52000000000004</v>
      </c>
      <c r="O45" s="40">
        <f t="shared" si="13"/>
        <v>-3.4799999999999613</v>
      </c>
      <c r="P45" s="132">
        <f t="shared" si="10"/>
        <v>99.28688524590164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75.99</v>
      </c>
      <c r="G46" s="36">
        <f t="shared" si="11"/>
        <v>-37</v>
      </c>
      <c r="H46" s="32">
        <f t="shared" si="9"/>
        <v>67.25373926896185</v>
      </c>
      <c r="I46" s="110">
        <f t="shared" si="12"/>
        <v>-1024.01</v>
      </c>
      <c r="J46" s="42">
        <f t="shared" si="14"/>
        <v>6.908181818181817</v>
      </c>
      <c r="K46" s="110">
        <f>F46-139.45</f>
        <v>-63.459999999999994</v>
      </c>
      <c r="L46" s="110">
        <f>F46/139.45*100</f>
        <v>54.492649695231265</v>
      </c>
      <c r="M46" s="111">
        <v>87</v>
      </c>
      <c r="N46" s="179">
        <f>F46-січень!F46</f>
        <v>50</v>
      </c>
      <c r="O46" s="112">
        <f t="shared" si="13"/>
        <v>-37</v>
      </c>
      <c r="P46" s="132">
        <f t="shared" si="10"/>
        <v>57.47126436781609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0.07</v>
      </c>
      <c r="G47" s="36">
        <f t="shared" si="11"/>
        <v>-0.9649999999999999</v>
      </c>
      <c r="H47" s="32">
        <f t="shared" si="9"/>
        <v>6.76328502415459</v>
      </c>
      <c r="I47" s="110">
        <f t="shared" si="12"/>
        <v>-44.93</v>
      </c>
      <c r="J47" s="42">
        <f t="shared" si="14"/>
        <v>0.15555555555555556</v>
      </c>
      <c r="K47" s="110">
        <f>F47-1.07</f>
        <v>-1</v>
      </c>
      <c r="L47" s="110">
        <f>F47/1.27*100</f>
        <v>5.511811023622048</v>
      </c>
      <c r="M47" s="111">
        <v>1</v>
      </c>
      <c r="N47" s="179">
        <f>F47-січень!F47</f>
        <v>0.030000000000000006</v>
      </c>
      <c r="O47" s="112">
        <f t="shared" si="13"/>
        <v>-0.97</v>
      </c>
      <c r="P47" s="132">
        <f t="shared" si="10"/>
        <v>3.0000000000000004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816.66</v>
      </c>
      <c r="G49" s="36">
        <f t="shared" si="11"/>
        <v>34.49000000000001</v>
      </c>
      <c r="H49" s="32">
        <f t="shared" si="9"/>
        <v>104.40952734060372</v>
      </c>
      <c r="I49" s="110">
        <f t="shared" si="12"/>
        <v>-5337.34</v>
      </c>
      <c r="J49" s="42">
        <f t="shared" si="14"/>
        <v>13.270393240168996</v>
      </c>
      <c r="K49" s="110">
        <f>F49-1257.34</f>
        <v>-440.67999999999995</v>
      </c>
      <c r="L49" s="110">
        <f>F49/1257.34*100</f>
        <v>64.95140534779773</v>
      </c>
      <c r="M49" s="111">
        <v>400</v>
      </c>
      <c r="N49" s="179">
        <f>F49-січень!F49</f>
        <v>434.48999999999995</v>
      </c>
      <c r="O49" s="112">
        <f t="shared" si="13"/>
        <v>34.48999999999995</v>
      </c>
      <c r="P49" s="132">
        <f t="shared" si="10"/>
        <v>108.62249999999997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0.17</v>
      </c>
      <c r="G50" s="36">
        <f t="shared" si="11"/>
        <v>-0.0010000000000000009</v>
      </c>
      <c r="H50" s="32">
        <f t="shared" si="9"/>
        <v>99.41520467836257</v>
      </c>
      <c r="I50" s="42">
        <f t="shared" si="12"/>
        <v>-9.83</v>
      </c>
      <c r="J50" s="42">
        <f t="shared" si="14"/>
        <v>1.7000000000000002</v>
      </c>
      <c r="K50" s="42">
        <f>F50-0</f>
        <v>0.17</v>
      </c>
      <c r="L50" s="42"/>
      <c r="M50" s="32">
        <v>0</v>
      </c>
      <c r="N50" s="178">
        <f>F50-січень!F50</f>
        <v>0</v>
      </c>
      <c r="O50" s="40">
        <f t="shared" si="13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682.17</v>
      </c>
      <c r="G51" s="36">
        <f t="shared" si="11"/>
        <v>44.18999999999994</v>
      </c>
      <c r="H51" s="32">
        <f t="shared" si="9"/>
        <v>106.92654942161195</v>
      </c>
      <c r="I51" s="42">
        <f t="shared" si="12"/>
        <v>-4117.83</v>
      </c>
      <c r="J51" s="42">
        <f t="shared" si="14"/>
        <v>14.211875</v>
      </c>
      <c r="K51" s="42">
        <f>F51-590.24</f>
        <v>91.92999999999995</v>
      </c>
      <c r="L51" s="42">
        <f>F51/590.24*100</f>
        <v>115.57502033071292</v>
      </c>
      <c r="M51" s="32">
        <v>320</v>
      </c>
      <c r="N51" s="178">
        <f>F51-січень!F51</f>
        <v>364.18999999999994</v>
      </c>
      <c r="O51" s="40">
        <f t="shared" si="13"/>
        <v>44.18999999999994</v>
      </c>
      <c r="P51" s="42">
        <f t="shared" si="10"/>
        <v>113.80937499999999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142.5</v>
      </c>
      <c r="G53" s="36"/>
      <c r="H53" s="32"/>
      <c r="I53" s="42"/>
      <c r="J53" s="42"/>
      <c r="K53" s="112">
        <f>F53-142.7</f>
        <v>-0.19999999999998863</v>
      </c>
      <c r="L53" s="112">
        <f>F53/142.7*100</f>
        <v>99.85984583041346</v>
      </c>
      <c r="M53" s="111"/>
      <c r="N53" s="179">
        <f>F53-січень!F53</f>
        <v>72.3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1</v>
      </c>
      <c r="G56" s="36">
        <f t="shared" si="11"/>
        <v>-2</v>
      </c>
      <c r="H56" s="32">
        <f t="shared" si="9"/>
        <v>33.33333333333333</v>
      </c>
      <c r="I56" s="42">
        <f t="shared" si="12"/>
        <v>-29</v>
      </c>
      <c r="J56" s="42">
        <f t="shared" si="14"/>
        <v>3.3333333333333335</v>
      </c>
      <c r="K56" s="42">
        <f>F56-3.3</f>
        <v>-2.3</v>
      </c>
      <c r="L56" s="42">
        <f>F56/3.3*100</f>
        <v>30.303030303030305</v>
      </c>
      <c r="M56" s="32">
        <v>2</v>
      </c>
      <c r="N56" s="178">
        <f>F56-січень!F56</f>
        <v>0</v>
      </c>
      <c r="O56" s="40">
        <f t="shared" si="13"/>
        <v>-2</v>
      </c>
      <c r="P56" s="42">
        <f t="shared" si="10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122086.18000000001</v>
      </c>
      <c r="G58" s="37">
        <f>F58-E58</f>
        <v>-5564.61599999998</v>
      </c>
      <c r="H58" s="38">
        <f>F58/E58*100</f>
        <v>95.64075103769821</v>
      </c>
      <c r="I58" s="28">
        <f>F58-D58</f>
        <v>-761814.4199999999</v>
      </c>
      <c r="J58" s="28">
        <f>F58/D58*100</f>
        <v>13.812206938200971</v>
      </c>
      <c r="K58" s="28">
        <f>F58-96241.42</f>
        <v>25844.76000000001</v>
      </c>
      <c r="L58" s="28">
        <f>F58/96241.42*100</f>
        <v>126.85409255183475</v>
      </c>
      <c r="M58" s="15">
        <f>M8+M33+M56+M57</f>
        <v>65061.3</v>
      </c>
      <c r="N58" s="15">
        <f>N8+N33+N56+N57</f>
        <v>59473.58</v>
      </c>
      <c r="O58" s="41">
        <f>N58-M58</f>
        <v>-5587.720000000001</v>
      </c>
      <c r="P58" s="28">
        <f>N58/M58*100</f>
        <v>91.41160720735675</v>
      </c>
      <c r="Q58" s="28">
        <f>N58-34768</f>
        <v>24705.58</v>
      </c>
      <c r="R58" s="128">
        <f>N58/34768</f>
        <v>1.7105838702254947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0.09</v>
      </c>
      <c r="G67" s="36">
        <f aca="true" t="shared" si="15" ref="G67:G77">F67-E67</f>
        <v>0.09</v>
      </c>
      <c r="H67" s="32"/>
      <c r="I67" s="43">
        <f aca="true" t="shared" si="16" ref="I67:I77">F67-D67</f>
        <v>-4199.91</v>
      </c>
      <c r="J67" s="43">
        <f>F67/D67*100</f>
        <v>0.002142857142857143</v>
      </c>
      <c r="K67" s="43">
        <f>F67-0.08</f>
        <v>0.009999999999999995</v>
      </c>
      <c r="L67" s="43">
        <f>F67/0.08*100</f>
        <v>112.5</v>
      </c>
      <c r="M67" s="32">
        <v>0</v>
      </c>
      <c r="N67" s="178">
        <f>F67-січень!F67</f>
        <v>0.03</v>
      </c>
      <c r="O67" s="40">
        <f aca="true" t="shared" si="17" ref="O67:O80">N67-M67</f>
        <v>0.03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201.2</v>
      </c>
      <c r="G68" s="36">
        <f t="shared" si="15"/>
        <v>-931.2</v>
      </c>
      <c r="H68" s="32">
        <f>F68/E68*100</f>
        <v>17.767573295655243</v>
      </c>
      <c r="I68" s="43">
        <f t="shared" si="16"/>
        <v>-7257.8</v>
      </c>
      <c r="J68" s="43">
        <f>F68/D68*100</f>
        <v>2.697412521785762</v>
      </c>
      <c r="K68" s="43">
        <f>F68-414.12</f>
        <v>-212.92000000000002</v>
      </c>
      <c r="L68" s="43">
        <f>F68/414.12*100</f>
        <v>48.58495122186805</v>
      </c>
      <c r="M68" s="32">
        <v>1109.5</v>
      </c>
      <c r="N68" s="178">
        <f>F68-січень!F68</f>
        <v>178.29</v>
      </c>
      <c r="O68" s="40">
        <f t="shared" si="17"/>
        <v>-931.21</v>
      </c>
      <c r="P68" s="43">
        <f>N68/M68*100</f>
        <v>16.069400630914828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525.71</v>
      </c>
      <c r="G69" s="36">
        <f t="shared" si="15"/>
        <v>-59.139999999999986</v>
      </c>
      <c r="H69" s="32">
        <f>F69/E69*100</f>
        <v>89.88800547148841</v>
      </c>
      <c r="I69" s="43">
        <f t="shared" si="16"/>
        <v>-5474.29</v>
      </c>
      <c r="J69" s="43">
        <f>F69/D69*100</f>
        <v>8.761833333333334</v>
      </c>
      <c r="K69" s="43">
        <f>F69-(-1.6)</f>
        <v>527.3100000000001</v>
      </c>
      <c r="L69" s="43">
        <f>F69/(-1.6)*100</f>
        <v>-32856.875</v>
      </c>
      <c r="M69" s="32">
        <v>302</v>
      </c>
      <c r="N69" s="178">
        <f>F69-січень!F69</f>
        <v>242.86</v>
      </c>
      <c r="O69" s="40">
        <f t="shared" si="17"/>
        <v>-59.139999999999986</v>
      </c>
      <c r="P69" s="43">
        <f>N69/M69*100</f>
        <v>80.41721854304636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729</v>
      </c>
      <c r="G71" s="45">
        <f t="shared" si="15"/>
        <v>-990.25</v>
      </c>
      <c r="H71" s="52">
        <f>F71/E71*100</f>
        <v>42.402210266104404</v>
      </c>
      <c r="I71" s="44">
        <f t="shared" si="16"/>
        <v>-16942</v>
      </c>
      <c r="J71" s="44">
        <f>F71/D71*100</f>
        <v>4.125403202987946</v>
      </c>
      <c r="K71" s="44">
        <f>F71-412.6</f>
        <v>316.4</v>
      </c>
      <c r="L71" s="44">
        <f>F71/412.6*100</f>
        <v>176.68444013572466</v>
      </c>
      <c r="M71" s="45">
        <f>M67+M68+M69+M70</f>
        <v>1412.5</v>
      </c>
      <c r="N71" s="183">
        <f>N67+N68+N69+N70</f>
        <v>422.18</v>
      </c>
      <c r="O71" s="44">
        <f t="shared" si="17"/>
        <v>-990.3199999999999</v>
      </c>
      <c r="P71" s="44">
        <f>N71/M71*100</f>
        <v>29.888849557522125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2013.62</v>
      </c>
      <c r="G74" s="36">
        <f t="shared" si="15"/>
        <v>8.7199999999998</v>
      </c>
      <c r="H74" s="32">
        <f>F74/E74*100</f>
        <v>100.4349344106938</v>
      </c>
      <c r="I74" s="43">
        <f t="shared" si="16"/>
        <v>-7486.38</v>
      </c>
      <c r="J74" s="40">
        <f>F74/D74*100</f>
        <v>21.195999999999998</v>
      </c>
      <c r="K74" s="40">
        <f>F74-0</f>
        <v>2013.62</v>
      </c>
      <c r="L74" s="43"/>
      <c r="M74" s="32">
        <v>2004.9</v>
      </c>
      <c r="N74" s="178">
        <f>F74</f>
        <v>2013.62</v>
      </c>
      <c r="O74" s="40">
        <f>N74-M74</f>
        <v>8.7199999999998</v>
      </c>
      <c r="P74" s="46">
        <f>N74/M74*100</f>
        <v>100.4349344106938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2013.79</v>
      </c>
      <c r="G76" s="30">
        <f>G72+G75+G73+G74</f>
        <v>8.8899999999998</v>
      </c>
      <c r="H76" s="52">
        <f>F76/E76*100</f>
        <v>100.44341363659035</v>
      </c>
      <c r="I76" s="44">
        <f t="shared" si="16"/>
        <v>-7487.21</v>
      </c>
      <c r="J76" s="44">
        <f>F76/D76*100</f>
        <v>21.195558362277655</v>
      </c>
      <c r="K76" s="44">
        <f>F76-0.49</f>
        <v>2013.3</v>
      </c>
      <c r="L76" s="44">
        <f>F76/0.49*100</f>
        <v>410977.55102040817</v>
      </c>
      <c r="M76" s="45">
        <f>M72+M75+M73+M74</f>
        <v>2004.9</v>
      </c>
      <c r="N76" s="183">
        <f>N72+N75+N73+N74</f>
        <v>2013.6699999999998</v>
      </c>
      <c r="O76" s="45">
        <f>O72+O75+O73+O74</f>
        <v>8.7699999999998</v>
      </c>
      <c r="P76" s="44">
        <f>N76/M76*100</f>
        <v>100.43742830066336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0.35</v>
      </c>
      <c r="G77" s="36">
        <f t="shared" si="15"/>
        <v>-0.37</v>
      </c>
      <c r="H77" s="32">
        <f>F77/E77*100</f>
        <v>48.61111111111111</v>
      </c>
      <c r="I77" s="43">
        <f t="shared" si="16"/>
        <v>-42.65</v>
      </c>
      <c r="J77" s="43">
        <f>F77/D77*100</f>
        <v>0.813953488372093</v>
      </c>
      <c r="K77" s="43">
        <f>F77-0.96</f>
        <v>-0.61</v>
      </c>
      <c r="L77" s="43">
        <f>F77/0.96*100</f>
        <v>36.45833333333333</v>
      </c>
      <c r="M77" s="32">
        <v>0.375</v>
      </c>
      <c r="N77" s="178">
        <f>F77-січень!F76</f>
        <v>0</v>
      </c>
      <c r="O77" s="40">
        <f t="shared" si="17"/>
        <v>-0.375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2742.87</v>
      </c>
      <c r="G79" s="37">
        <f>F79-E79</f>
        <v>-982</v>
      </c>
      <c r="H79" s="38">
        <f>F79/E79*100</f>
        <v>73.63666382987863</v>
      </c>
      <c r="I79" s="28">
        <f>F79-D79</f>
        <v>-24472.13</v>
      </c>
      <c r="J79" s="28">
        <f>F79/D79*100</f>
        <v>10.078522873415395</v>
      </c>
      <c r="K79" s="28">
        <f>K65+K71+K76+K77</f>
        <v>2343.47</v>
      </c>
      <c r="L79" s="28">
        <f>F79/399.4*100</f>
        <v>686.7476214321482</v>
      </c>
      <c r="M79" s="24">
        <f>M65+M77+M71+M76</f>
        <v>3417.775</v>
      </c>
      <c r="N79" s="165">
        <f>N65+N77+N71+N76+N78</f>
        <v>2427.1</v>
      </c>
      <c r="O79" s="28">
        <f t="shared" si="17"/>
        <v>-990.6750000000002</v>
      </c>
      <c r="P79" s="28">
        <f>N79/M79*100</f>
        <v>71.01403690997797</v>
      </c>
      <c r="Q79" s="28">
        <f>N79-8104.96</f>
        <v>-5677.860000000001</v>
      </c>
      <c r="R79" s="101">
        <f>N79/8104.96</f>
        <v>0.2994586031269741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124829.05</v>
      </c>
      <c r="G80" s="37">
        <f>F80-E80</f>
        <v>-6546.6159999999945</v>
      </c>
      <c r="H80" s="38">
        <f>F80/E80*100</f>
        <v>95.01687321607946</v>
      </c>
      <c r="I80" s="28">
        <f>F80-D80</f>
        <v>-786286.5499999999</v>
      </c>
      <c r="J80" s="28">
        <f>F80/D80*100</f>
        <v>13.700681889323373</v>
      </c>
      <c r="K80" s="28">
        <f>K58+K79</f>
        <v>28188.23000000001</v>
      </c>
      <c r="L80" s="28">
        <f>F80/96640.82*100</f>
        <v>129.16803686061436</v>
      </c>
      <c r="M80" s="15">
        <f>M58+M79</f>
        <v>68479.075</v>
      </c>
      <c r="N80" s="15">
        <f>N58+N79</f>
        <v>61900.68</v>
      </c>
      <c r="O80" s="28">
        <f t="shared" si="17"/>
        <v>-6578.394999999997</v>
      </c>
      <c r="P80" s="28">
        <f>N80/M80*100</f>
        <v>90.39356913042415</v>
      </c>
      <c r="Q80" s="28">
        <f>N80-42872.96</f>
        <v>19027.72</v>
      </c>
      <c r="R80" s="101">
        <f>N80/42872.96</f>
        <v>1.4438163355177716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3</v>
      </c>
      <c r="D82" s="4" t="s">
        <v>36</v>
      </c>
    </row>
    <row r="83" spans="2:17" ht="30.75">
      <c r="B83" s="57" t="s">
        <v>54</v>
      </c>
      <c r="C83" s="31">
        <f>IF(O58&lt;0,ABS(O58/C82),0)</f>
        <v>1862.5733333333337</v>
      </c>
      <c r="D83" s="4" t="s">
        <v>24</v>
      </c>
      <c r="G83" s="199"/>
      <c r="H83" s="199"/>
      <c r="I83" s="199"/>
      <c r="J83" s="199"/>
      <c r="K83" s="90"/>
      <c r="L83" s="90"/>
      <c r="P83" s="26"/>
      <c r="Q83" s="26"/>
    </row>
    <row r="84" spans="2:15" ht="34.5" customHeight="1">
      <c r="B84" s="58" t="s">
        <v>56</v>
      </c>
      <c r="C84" s="87">
        <v>42424</v>
      </c>
      <c r="D84" s="31">
        <v>1664.6</v>
      </c>
      <c r="G84" s="4" t="s">
        <v>59</v>
      </c>
      <c r="N84" s="192"/>
      <c r="O84" s="192"/>
    </row>
    <row r="85" spans="3:15" ht="15">
      <c r="C85" s="87">
        <v>42423</v>
      </c>
      <c r="D85" s="31">
        <v>3480.6</v>
      </c>
      <c r="F85" s="124" t="s">
        <v>59</v>
      </c>
      <c r="G85" s="186"/>
      <c r="H85" s="186"/>
      <c r="I85" s="131"/>
      <c r="J85" s="189"/>
      <c r="K85" s="189"/>
      <c r="L85" s="189"/>
      <c r="M85" s="189"/>
      <c r="N85" s="192"/>
      <c r="O85" s="192"/>
    </row>
    <row r="86" spans="3:15" ht="15.75" customHeight="1">
      <c r="C86" s="87">
        <v>42422</v>
      </c>
      <c r="D86" s="31">
        <v>5174.5</v>
      </c>
      <c r="F86" s="73"/>
      <c r="G86" s="186"/>
      <c r="H86" s="186"/>
      <c r="I86" s="131"/>
      <c r="J86" s="193"/>
      <c r="K86" s="193"/>
      <c r="L86" s="193"/>
      <c r="M86" s="193"/>
      <c r="N86" s="192"/>
      <c r="O86" s="192"/>
    </row>
    <row r="87" spans="3:13" ht="15.75" customHeight="1">
      <c r="C87" s="87"/>
      <c r="F87" s="73"/>
      <c r="G87" s="188"/>
      <c r="H87" s="188"/>
      <c r="I87" s="139"/>
      <c r="J87" s="189"/>
      <c r="K87" s="189"/>
      <c r="L87" s="189"/>
      <c r="M87" s="189"/>
    </row>
    <row r="88" spans="2:13" ht="18.75" customHeight="1">
      <c r="B88" s="190" t="s">
        <v>57</v>
      </c>
      <c r="C88" s="191"/>
      <c r="D88" s="148">
        <v>208.6798</v>
      </c>
      <c r="E88" s="74"/>
      <c r="F88" s="140" t="s">
        <v>137</v>
      </c>
      <c r="G88" s="186"/>
      <c r="H88" s="186"/>
      <c r="I88" s="141"/>
      <c r="J88" s="189"/>
      <c r="K88" s="189"/>
      <c r="L88" s="189"/>
      <c r="M88" s="189"/>
    </row>
    <row r="89" spans="6:12" ht="9.75" customHeight="1">
      <c r="F89" s="73"/>
      <c r="G89" s="186"/>
      <c r="H89" s="186"/>
      <c r="I89" s="73"/>
      <c r="J89" s="74"/>
      <c r="K89" s="74"/>
      <c r="L89" s="74"/>
    </row>
    <row r="90" spans="2:12" ht="22.5" customHeight="1" hidden="1">
      <c r="B90" s="184" t="s">
        <v>60</v>
      </c>
      <c r="C90" s="185"/>
      <c r="D90" s="86">
        <v>0</v>
      </c>
      <c r="E90" s="56" t="s">
        <v>24</v>
      </c>
      <c r="F90" s="73"/>
      <c r="G90" s="186"/>
      <c r="H90" s="18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6"/>
      <c r="O91" s="186"/>
    </row>
    <row r="92" spans="4:15" ht="15">
      <c r="D92" s="83"/>
      <c r="I92" s="31"/>
      <c r="N92" s="187"/>
      <c r="O92" s="187"/>
    </row>
    <row r="93" spans="14:15" ht="15">
      <c r="N93" s="186"/>
      <c r="O93" s="186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8">
      <selection activeCell="F68" sqref="F6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6" t="s">
        <v>114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92"/>
      <c r="R1" s="93"/>
    </row>
    <row r="2" spans="2:18" s="1" customFormat="1" ht="15.75" customHeight="1">
      <c r="B2" s="207"/>
      <c r="C2" s="207"/>
      <c r="D2" s="207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08"/>
      <c r="B3" s="210" t="s">
        <v>135</v>
      </c>
      <c r="C3" s="211" t="s">
        <v>0</v>
      </c>
      <c r="D3" s="212" t="s">
        <v>121</v>
      </c>
      <c r="E3" s="34"/>
      <c r="F3" s="213" t="s">
        <v>26</v>
      </c>
      <c r="G3" s="214"/>
      <c r="H3" s="214"/>
      <c r="I3" s="214"/>
      <c r="J3" s="215"/>
      <c r="K3" s="89"/>
      <c r="L3" s="89"/>
      <c r="M3" s="216" t="s">
        <v>132</v>
      </c>
      <c r="N3" s="217" t="s">
        <v>66</v>
      </c>
      <c r="O3" s="217"/>
      <c r="P3" s="217"/>
      <c r="Q3" s="217"/>
      <c r="R3" s="217"/>
    </row>
    <row r="4" spans="1:18" ht="22.5" customHeight="1">
      <c r="A4" s="208"/>
      <c r="B4" s="210"/>
      <c r="C4" s="211"/>
      <c r="D4" s="212"/>
      <c r="E4" s="218" t="s">
        <v>129</v>
      </c>
      <c r="F4" s="200" t="s">
        <v>34</v>
      </c>
      <c r="G4" s="194" t="s">
        <v>130</v>
      </c>
      <c r="H4" s="202" t="s">
        <v>131</v>
      </c>
      <c r="I4" s="194" t="s">
        <v>122</v>
      </c>
      <c r="J4" s="202" t="s">
        <v>123</v>
      </c>
      <c r="K4" s="91" t="s">
        <v>65</v>
      </c>
      <c r="L4" s="96" t="s">
        <v>64</v>
      </c>
      <c r="M4" s="202"/>
      <c r="N4" s="220" t="s">
        <v>133</v>
      </c>
      <c r="O4" s="194" t="s">
        <v>50</v>
      </c>
      <c r="P4" s="196" t="s">
        <v>49</v>
      </c>
      <c r="Q4" s="97" t="s">
        <v>65</v>
      </c>
      <c r="R4" s="98" t="s">
        <v>64</v>
      </c>
    </row>
    <row r="5" spans="1:18" ht="92.25" customHeight="1">
      <c r="A5" s="209"/>
      <c r="B5" s="210"/>
      <c r="C5" s="211"/>
      <c r="D5" s="212"/>
      <c r="E5" s="219"/>
      <c r="F5" s="201"/>
      <c r="G5" s="195"/>
      <c r="H5" s="203"/>
      <c r="I5" s="195"/>
      <c r="J5" s="203"/>
      <c r="K5" s="197" t="s">
        <v>134</v>
      </c>
      <c r="L5" s="198"/>
      <c r="M5" s="203"/>
      <c r="N5" s="221"/>
      <c r="O5" s="195"/>
      <c r="P5" s="196"/>
      <c r="Q5" s="197" t="s">
        <v>120</v>
      </c>
      <c r="R5" s="19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199"/>
      <c r="H83" s="199"/>
      <c r="I83" s="199"/>
      <c r="J83" s="19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192"/>
      <c r="O84" s="192"/>
    </row>
    <row r="85" spans="3:15" ht="15">
      <c r="C85" s="87">
        <v>42397</v>
      </c>
      <c r="D85" s="31">
        <v>8685</v>
      </c>
      <c r="F85" s="124" t="s">
        <v>59</v>
      </c>
      <c r="G85" s="186"/>
      <c r="H85" s="186"/>
      <c r="I85" s="131"/>
      <c r="J85" s="189"/>
      <c r="K85" s="189"/>
      <c r="L85" s="189"/>
      <c r="M85" s="189"/>
      <c r="N85" s="192"/>
      <c r="O85" s="192"/>
    </row>
    <row r="86" spans="3:15" ht="15.75" customHeight="1">
      <c r="C86" s="87">
        <v>42396</v>
      </c>
      <c r="D86" s="31">
        <v>4820.3</v>
      </c>
      <c r="F86" s="73"/>
      <c r="G86" s="186"/>
      <c r="H86" s="186"/>
      <c r="I86" s="131"/>
      <c r="J86" s="193"/>
      <c r="K86" s="193"/>
      <c r="L86" s="193"/>
      <c r="M86" s="193"/>
      <c r="N86" s="192"/>
      <c r="O86" s="192"/>
    </row>
    <row r="87" spans="3:13" ht="15.75" customHeight="1">
      <c r="C87" s="87"/>
      <c r="F87" s="73"/>
      <c r="G87" s="188"/>
      <c r="H87" s="188"/>
      <c r="I87" s="139"/>
      <c r="J87" s="189"/>
      <c r="K87" s="189"/>
      <c r="L87" s="189"/>
      <c r="M87" s="189"/>
    </row>
    <row r="88" spans="2:13" ht="18.75" customHeight="1">
      <c r="B88" s="190" t="s">
        <v>57</v>
      </c>
      <c r="C88" s="191"/>
      <c r="D88" s="148">
        <v>300.92</v>
      </c>
      <c r="E88" s="74"/>
      <c r="F88" s="140"/>
      <c r="G88" s="186"/>
      <c r="H88" s="186"/>
      <c r="I88" s="141"/>
      <c r="J88" s="189"/>
      <c r="K88" s="189"/>
      <c r="L88" s="189"/>
      <c r="M88" s="189"/>
    </row>
    <row r="89" spans="6:12" ht="9.75" customHeight="1">
      <c r="F89" s="73"/>
      <c r="G89" s="186"/>
      <c r="H89" s="186"/>
      <c r="I89" s="73"/>
      <c r="J89" s="74"/>
      <c r="K89" s="74"/>
      <c r="L89" s="74"/>
    </row>
    <row r="90" spans="2:12" ht="22.5" customHeight="1" hidden="1">
      <c r="B90" s="184" t="s">
        <v>60</v>
      </c>
      <c r="C90" s="185"/>
      <c r="D90" s="86">
        <v>0</v>
      </c>
      <c r="E90" s="56" t="s">
        <v>24</v>
      </c>
      <c r="F90" s="73"/>
      <c r="G90" s="186"/>
      <c r="H90" s="18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6"/>
      <c r="O91" s="186"/>
    </row>
    <row r="92" spans="4:15" ht="15">
      <c r="D92" s="83"/>
      <c r="I92" s="31"/>
      <c r="N92" s="187"/>
      <c r="O92" s="187"/>
    </row>
    <row r="93" spans="14:15" ht="15">
      <c r="N93" s="186"/>
      <c r="O93" s="186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6" t="s">
        <v>114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92"/>
      <c r="R1" s="93"/>
    </row>
    <row r="2" spans="2:18" s="1" customFormat="1" ht="15.75" customHeight="1">
      <c r="B2" s="207"/>
      <c r="C2" s="207"/>
      <c r="D2" s="207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08"/>
      <c r="B3" s="210" t="s">
        <v>136</v>
      </c>
      <c r="C3" s="211" t="s">
        <v>0</v>
      </c>
      <c r="D3" s="212" t="s">
        <v>115</v>
      </c>
      <c r="E3" s="34"/>
      <c r="F3" s="213" t="s">
        <v>26</v>
      </c>
      <c r="G3" s="214"/>
      <c r="H3" s="214"/>
      <c r="I3" s="214"/>
      <c r="J3" s="215"/>
      <c r="K3" s="89"/>
      <c r="L3" s="89"/>
      <c r="M3" s="216" t="s">
        <v>107</v>
      </c>
      <c r="N3" s="217" t="s">
        <v>66</v>
      </c>
      <c r="O3" s="217"/>
      <c r="P3" s="217"/>
      <c r="Q3" s="217"/>
      <c r="R3" s="217"/>
    </row>
    <row r="4" spans="1:18" ht="22.5" customHeight="1">
      <c r="A4" s="208"/>
      <c r="B4" s="210"/>
      <c r="C4" s="211"/>
      <c r="D4" s="212"/>
      <c r="E4" s="218" t="s">
        <v>104</v>
      </c>
      <c r="F4" s="222" t="s">
        <v>34</v>
      </c>
      <c r="G4" s="194" t="s">
        <v>109</v>
      </c>
      <c r="H4" s="202" t="s">
        <v>110</v>
      </c>
      <c r="I4" s="194" t="s">
        <v>105</v>
      </c>
      <c r="J4" s="202" t="s">
        <v>106</v>
      </c>
      <c r="K4" s="91" t="s">
        <v>65</v>
      </c>
      <c r="L4" s="96" t="s">
        <v>64</v>
      </c>
      <c r="M4" s="202"/>
      <c r="N4" s="220" t="s">
        <v>103</v>
      </c>
      <c r="O4" s="194" t="s">
        <v>50</v>
      </c>
      <c r="P4" s="196" t="s">
        <v>49</v>
      </c>
      <c r="Q4" s="97" t="s">
        <v>65</v>
      </c>
      <c r="R4" s="98" t="s">
        <v>64</v>
      </c>
    </row>
    <row r="5" spans="1:18" ht="76.5" customHeight="1">
      <c r="A5" s="209"/>
      <c r="B5" s="210"/>
      <c r="C5" s="211"/>
      <c r="D5" s="212"/>
      <c r="E5" s="219"/>
      <c r="F5" s="223"/>
      <c r="G5" s="195"/>
      <c r="H5" s="203"/>
      <c r="I5" s="195"/>
      <c r="J5" s="203"/>
      <c r="K5" s="197" t="s">
        <v>108</v>
      </c>
      <c r="L5" s="198"/>
      <c r="M5" s="203"/>
      <c r="N5" s="221"/>
      <c r="O5" s="195"/>
      <c r="P5" s="196"/>
      <c r="Q5" s="197" t="s">
        <v>126</v>
      </c>
      <c r="R5" s="19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199"/>
      <c r="H82" s="199"/>
      <c r="I82" s="199"/>
      <c r="J82" s="19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92"/>
      <c r="O83" s="192"/>
    </row>
    <row r="84" spans="3:15" ht="15">
      <c r="C84" s="87">
        <v>42397</v>
      </c>
      <c r="D84" s="31">
        <v>8685</v>
      </c>
      <c r="F84" s="166" t="s">
        <v>59</v>
      </c>
      <c r="G84" s="186"/>
      <c r="H84" s="186"/>
      <c r="I84" s="131"/>
      <c r="J84" s="189"/>
      <c r="K84" s="189"/>
      <c r="L84" s="189"/>
      <c r="M84" s="189"/>
      <c r="N84" s="192"/>
      <c r="O84" s="192"/>
    </row>
    <row r="85" spans="3:15" ht="15.75" customHeight="1">
      <c r="C85" s="87">
        <v>42396</v>
      </c>
      <c r="D85" s="31">
        <v>4820.3</v>
      </c>
      <c r="F85" s="167"/>
      <c r="G85" s="186"/>
      <c r="H85" s="186"/>
      <c r="I85" s="131"/>
      <c r="J85" s="193"/>
      <c r="K85" s="193"/>
      <c r="L85" s="193"/>
      <c r="M85" s="193"/>
      <c r="N85" s="192"/>
      <c r="O85" s="192"/>
    </row>
    <row r="86" spans="3:13" ht="15.75" customHeight="1">
      <c r="C86" s="87"/>
      <c r="F86" s="167"/>
      <c r="G86" s="188"/>
      <c r="H86" s="188"/>
      <c r="I86" s="139"/>
      <c r="J86" s="189"/>
      <c r="K86" s="189"/>
      <c r="L86" s="189"/>
      <c r="M86" s="189"/>
    </row>
    <row r="87" spans="2:13" ht="18.75" customHeight="1">
      <c r="B87" s="190" t="s">
        <v>57</v>
      </c>
      <c r="C87" s="191"/>
      <c r="D87" s="148">
        <v>300.92</v>
      </c>
      <c r="E87" s="74"/>
      <c r="F87" s="168"/>
      <c r="G87" s="186"/>
      <c r="H87" s="186"/>
      <c r="I87" s="141"/>
      <c r="J87" s="189"/>
      <c r="K87" s="189"/>
      <c r="L87" s="189"/>
      <c r="M87" s="189"/>
    </row>
    <row r="88" spans="6:12" ht="9.75" customHeight="1">
      <c r="F88" s="167"/>
      <c r="G88" s="186"/>
      <c r="H88" s="186"/>
      <c r="I88" s="73"/>
      <c r="J88" s="74"/>
      <c r="K88" s="74"/>
      <c r="L88" s="74"/>
    </row>
    <row r="89" spans="2:12" ht="22.5" customHeight="1" hidden="1">
      <c r="B89" s="184" t="s">
        <v>60</v>
      </c>
      <c r="C89" s="185"/>
      <c r="D89" s="86">
        <v>0</v>
      </c>
      <c r="E89" s="56" t="s">
        <v>24</v>
      </c>
      <c r="F89" s="167"/>
      <c r="G89" s="186"/>
      <c r="H89" s="186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186"/>
      <c r="O90" s="186"/>
    </row>
    <row r="91" spans="4:15" ht="15">
      <c r="D91" s="83"/>
      <c r="I91" s="31"/>
      <c r="N91" s="187"/>
      <c r="O91" s="187"/>
    </row>
    <row r="92" spans="14:15" ht="15">
      <c r="N92" s="186"/>
      <c r="O92" s="186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2016-02-24T07:58:25Z</cp:lastPrinted>
  <dcterms:created xsi:type="dcterms:W3CDTF">2003-07-28T11:27:56Z</dcterms:created>
  <dcterms:modified xsi:type="dcterms:W3CDTF">2016-02-25T09:07:30Z</dcterms:modified>
  <cp:category/>
  <cp:version/>
  <cp:contentType/>
  <cp:contentStatus/>
</cp:coreProperties>
</file>